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<sst xmlns="http://schemas.openxmlformats.org/spreadsheetml/2006/main" count="1478" uniqueCount="307">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</sst>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441109.85000000003</v>
      </c>
      <c r="G8" s="18">
        <f aca="true" t="shared" si="0" ref="G8:G54">F8-E8</f>
        <v>-17642.649999999965</v>
      </c>
      <c r="H8" s="45">
        <f>F8/E8*100</f>
        <v>96.15421169366925</v>
      </c>
      <c r="I8" s="31">
        <f aca="true" t="shared" si="1" ref="I8:I54">F8-D8</f>
        <v>-131179.14999999997</v>
      </c>
      <c r="J8" s="31">
        <f aca="true" t="shared" si="2" ref="J8:J14">F8/D8*100</f>
        <v>77.0781633056026</v>
      </c>
      <c r="K8" s="18">
        <f>K9+K15+K18+K19+K20+K32</f>
        <v>82126.00600000001</v>
      </c>
      <c r="L8" s="18"/>
      <c r="M8" s="18">
        <f>M9+M15+M18+M19+M20+M32+M17</f>
        <v>45676.399999999994</v>
      </c>
      <c r="N8" s="18">
        <f>N9+N15+N18+N19+N20+N32+N17</f>
        <v>11597.740000000018</v>
      </c>
      <c r="O8" s="31">
        <f aca="true" t="shared" si="3" ref="O8:O54">N8-M8</f>
        <v>-34078.659999999974</v>
      </c>
      <c r="P8" s="31">
        <f>F8/M8*100</f>
        <v>965.7281440744018</v>
      </c>
      <c r="Q8" s="31">
        <f>N8-33748.16</f>
        <v>-22150.419999999984</v>
      </c>
      <c r="R8" s="125">
        <f>N8/33748.16</f>
        <v>0.34365547632819143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242615.23</v>
      </c>
      <c r="G9" s="43">
        <f t="shared" si="0"/>
        <v>-5999.319999999978</v>
      </c>
      <c r="H9" s="35">
        <f aca="true" t="shared" si="4" ref="H9:H32">F9/E9*100</f>
        <v>97.58689907730663</v>
      </c>
      <c r="I9" s="50">
        <f t="shared" si="1"/>
        <v>-70074.76999999999</v>
      </c>
      <c r="J9" s="50">
        <f t="shared" si="2"/>
        <v>77.58969906296971</v>
      </c>
      <c r="K9" s="132">
        <f>F9-282613.68/75*60</f>
        <v>16524.286000000022</v>
      </c>
      <c r="L9" s="132">
        <f>F9/(282613.68/75*60)*100</f>
        <v>107.30868990489067</v>
      </c>
      <c r="M9" s="35">
        <f>E9-серпень!E9</f>
        <v>26089.899999999994</v>
      </c>
      <c r="N9" s="35">
        <f>F9-серпень!F9</f>
        <v>8904.220000000001</v>
      </c>
      <c r="O9" s="47">
        <f t="shared" si="3"/>
        <v>-17185.679999999993</v>
      </c>
      <c r="P9" s="50">
        <f aca="true" t="shared" si="5" ref="P9:P32">N9/M9*100</f>
        <v>34.12899244535243</v>
      </c>
      <c r="Q9" s="132">
        <f>N9-26568.11</f>
        <v>-17663.89</v>
      </c>
      <c r="R9" s="133">
        <f>N9/26568.11</f>
        <v>0.33514691109002487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214939.36</v>
      </c>
      <c r="G10" s="135">
        <f t="shared" si="0"/>
        <v>-3550.890000000014</v>
      </c>
      <c r="H10" s="137">
        <f t="shared" si="4"/>
        <v>98.37480619844592</v>
      </c>
      <c r="I10" s="136">
        <f t="shared" si="1"/>
        <v>-25470.640000000014</v>
      </c>
      <c r="J10" s="136">
        <f t="shared" si="2"/>
        <v>89.40533255688199</v>
      </c>
      <c r="K10" s="138">
        <f>F10-251377.17/75*60</f>
        <v>13837.623999999982</v>
      </c>
      <c r="L10" s="138">
        <f>F10/(251377.17/75*60)*100</f>
        <v>106.88090728366461</v>
      </c>
      <c r="M10" s="137">
        <f>E10-серпень!E10</f>
        <v>22490</v>
      </c>
      <c r="N10" s="137">
        <f>F10-серпень!F10</f>
        <v>8321.149999999994</v>
      </c>
      <c r="O10" s="138">
        <f t="shared" si="3"/>
        <v>-14168.850000000006</v>
      </c>
      <c r="P10" s="136">
        <f t="shared" si="5"/>
        <v>36.99933303690526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12451.25</v>
      </c>
      <c r="G11" s="135">
        <f t="shared" si="0"/>
        <v>-4336.6500000000015</v>
      </c>
      <c r="H11" s="137">
        <f t="shared" si="4"/>
        <v>74.16800195378815</v>
      </c>
      <c r="I11" s="136">
        <f t="shared" si="1"/>
        <v>-11248.75</v>
      </c>
      <c r="J11" s="136">
        <f t="shared" si="2"/>
        <v>52.53691983122363</v>
      </c>
      <c r="K11" s="138">
        <f>F11-18550.28/75*60</f>
        <v>-2388.974</v>
      </c>
      <c r="L11" s="138">
        <f>F11/(18550.28/75*60)*100</f>
        <v>83.90203544097447</v>
      </c>
      <c r="M11" s="137">
        <f>E11-серпень!E11</f>
        <v>2099.9000000000015</v>
      </c>
      <c r="N11" s="137">
        <f>F11-серпень!F11</f>
        <v>42.69000000000051</v>
      </c>
      <c r="O11" s="138">
        <f t="shared" si="3"/>
        <v>-2057.210000000001</v>
      </c>
      <c r="P11" s="136">
        <f t="shared" si="5"/>
        <v>2.032953950188127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3434.07</v>
      </c>
      <c r="G12" s="135">
        <f t="shared" si="0"/>
        <v>-474.92999999999984</v>
      </c>
      <c r="H12" s="137">
        <f t="shared" si="4"/>
        <v>87.85034535686876</v>
      </c>
      <c r="I12" s="136">
        <f t="shared" si="1"/>
        <v>-2365.93</v>
      </c>
      <c r="J12" s="136">
        <f t="shared" si="2"/>
        <v>59.208103448275864</v>
      </c>
      <c r="K12" s="138">
        <f>F12-5298.15/75*60</f>
        <v>-804.4499999999994</v>
      </c>
      <c r="L12" s="138">
        <f>F12/(5298.15*60)*100</f>
        <v>1.0802733029453677</v>
      </c>
      <c r="M12" s="137">
        <f>E12-серпень!E12</f>
        <v>660</v>
      </c>
      <c r="N12" s="137">
        <f>F12-серпень!F12</f>
        <v>102.71000000000004</v>
      </c>
      <c r="O12" s="138">
        <f t="shared" si="3"/>
        <v>-557.29</v>
      </c>
      <c r="P12" s="136">
        <f t="shared" si="5"/>
        <v>15.56212121212122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5102.66</v>
      </c>
      <c r="G13" s="135">
        <f t="shared" si="0"/>
        <v>-1120.7399999999998</v>
      </c>
      <c r="H13" s="137">
        <f t="shared" si="4"/>
        <v>81.9915158916348</v>
      </c>
      <c r="I13" s="136">
        <f t="shared" si="1"/>
        <v>-3297.34</v>
      </c>
      <c r="J13" s="136">
        <f t="shared" si="2"/>
        <v>60.74595238095238</v>
      </c>
      <c r="K13" s="138">
        <f>F13-7303.25/75*60</f>
        <v>-739.9400000000005</v>
      </c>
      <c r="L13" s="138">
        <f>F13/(7303.25/75*60)*100</f>
        <v>87.33543285523567</v>
      </c>
      <c r="M13" s="137">
        <f>E13-серпень!E13</f>
        <v>450</v>
      </c>
      <c r="N13" s="137">
        <f>F13-серпень!F13</f>
        <v>125.93000000000029</v>
      </c>
      <c r="O13" s="138">
        <f t="shared" si="3"/>
        <v>-324.0699999999997</v>
      </c>
      <c r="P13" s="136">
        <f t="shared" si="5"/>
        <v>27.984444444444513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6687.88</v>
      </c>
      <c r="G14" s="135">
        <f t="shared" si="0"/>
        <v>3483.88</v>
      </c>
      <c r="H14" s="137">
        <f t="shared" si="4"/>
        <v>208.73533083645444</v>
      </c>
      <c r="I14" s="136">
        <f t="shared" si="1"/>
        <v>2307.88</v>
      </c>
      <c r="J14" s="136">
        <f t="shared" si="2"/>
        <v>152.69132420091324</v>
      </c>
      <c r="K14" s="138">
        <f>F14-84.83/75*60</f>
        <v>6620.0160000000005</v>
      </c>
      <c r="L14" s="138">
        <f>F14/(84.83/75*60)*100</f>
        <v>9854.827301662148</v>
      </c>
      <c r="M14" s="137">
        <f>E14-липень!E14</f>
        <v>780</v>
      </c>
      <c r="N14" s="137">
        <f>F14-серпень!F14</f>
        <v>311.7399999999998</v>
      </c>
      <c r="O14" s="138">
        <f t="shared" si="3"/>
        <v>-468.2600000000002</v>
      </c>
      <c r="P14" s="136">
        <f t="shared" si="5"/>
        <v>39.96666666666664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-734.58</v>
      </c>
      <c r="G15" s="43">
        <f t="shared" si="0"/>
        <v>-905.98</v>
      </c>
      <c r="H15" s="35"/>
      <c r="I15" s="50">
        <f t="shared" si="1"/>
        <v>-734.58</v>
      </c>
      <c r="J15" s="50" t="e">
        <f>F15/D15*100</f>
        <v>#DIV/0!</v>
      </c>
      <c r="K15" s="53">
        <f>F15-(-404.47)</f>
        <v>-330.11</v>
      </c>
      <c r="L15" s="53">
        <f>F15/(-404.47)*100</f>
        <v>181.6154473755779</v>
      </c>
      <c r="M15" s="35">
        <f>E15-серпень!E15</f>
        <v>0.09999999999999432</v>
      </c>
      <c r="N15" s="35">
        <f>F15-серпень!F15</f>
        <v>0</v>
      </c>
      <c r="O15" s="47">
        <f t="shared" si="3"/>
        <v>-0.09999999999999432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F16-95.61</f>
        <v>-1329.4199999999998</v>
      </c>
      <c r="L16" s="138">
        <f>F16/95.61*100</f>
        <v>-1290.461248823345</v>
      </c>
      <c r="M16" s="35">
        <f>E16-серпень!E16</f>
        <v>0</v>
      </c>
      <c r="N16" s="35">
        <f>F16-серпень!F16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44311.57</v>
      </c>
      <c r="G19" s="43">
        <f t="shared" si="0"/>
        <v>-6411.18</v>
      </c>
      <c r="H19" s="35">
        <f t="shared" si="4"/>
        <v>87.36034619574056</v>
      </c>
      <c r="I19" s="50">
        <f t="shared" si="1"/>
        <v>-17898.43</v>
      </c>
      <c r="J19" s="178">
        <f>F19/D19*100</f>
        <v>71.22901462787333</v>
      </c>
      <c r="K19" s="179">
        <f>F19-0</f>
        <v>44311.57</v>
      </c>
      <c r="L19" s="180"/>
      <c r="M19" s="35">
        <f>E19-серпень!E19</f>
        <v>6800</v>
      </c>
      <c r="N19" s="35">
        <f>F19-серпень!F19</f>
        <v>433.9099999999962</v>
      </c>
      <c r="O19" s="47">
        <f t="shared" si="3"/>
        <v>-6366.090000000004</v>
      </c>
      <c r="P19" s="50">
        <f t="shared" si="5"/>
        <v>6.381029411764651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149324.13</v>
      </c>
      <c r="G20" s="43">
        <f t="shared" si="0"/>
        <v>-4154.2699999999895</v>
      </c>
      <c r="H20" s="35">
        <f t="shared" si="4"/>
        <v>97.29325429506693</v>
      </c>
      <c r="I20" s="50">
        <f t="shared" si="1"/>
        <v>-40545.869999999995</v>
      </c>
      <c r="J20" s="178">
        <f aca="true" t="shared" si="6" ref="J20:J46">F20/D20*100</f>
        <v>78.64545741823353</v>
      </c>
      <c r="K20" s="178">
        <f>K21+K25+K26+K27</f>
        <v>23399.039999999994</v>
      </c>
      <c r="L20" s="136"/>
      <c r="M20" s="35">
        <f>E20-серпень!E20</f>
        <v>12786.100000000006</v>
      </c>
      <c r="N20" s="35">
        <f>F20-серпень!F20</f>
        <v>2255.960000000021</v>
      </c>
      <c r="O20" s="47">
        <f t="shared" si="3"/>
        <v>-10530.139999999985</v>
      </c>
      <c r="P20" s="50">
        <f t="shared" si="5"/>
        <v>17.643847615770405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80638.16</v>
      </c>
      <c r="G21" s="43">
        <f t="shared" si="0"/>
        <v>-5262.239999999991</v>
      </c>
      <c r="H21" s="35">
        <f t="shared" si="4"/>
        <v>93.87402154122682</v>
      </c>
      <c r="I21" s="50">
        <f t="shared" si="1"/>
        <v>-29661.839999999997</v>
      </c>
      <c r="J21" s="178">
        <f t="shared" si="6"/>
        <v>73.1080326382593</v>
      </c>
      <c r="K21" s="178">
        <f>K22+K23+K24</f>
        <v>19091.55</v>
      </c>
      <c r="L21" s="136"/>
      <c r="M21" s="35">
        <f>E21-серпень!E21</f>
        <v>8720.099999999991</v>
      </c>
      <c r="N21" s="35">
        <f>F21-серпень!F21</f>
        <v>839.2799999999988</v>
      </c>
      <c r="O21" s="47">
        <f t="shared" si="3"/>
        <v>-7880.819999999992</v>
      </c>
      <c r="P21" s="50">
        <f t="shared" si="5"/>
        <v>9.624660267657477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8923.9</v>
      </c>
      <c r="G22" s="135">
        <f t="shared" si="0"/>
        <v>129.5</v>
      </c>
      <c r="H22" s="137">
        <f t="shared" si="4"/>
        <v>101.47252797234604</v>
      </c>
      <c r="I22" s="136">
        <f t="shared" si="1"/>
        <v>-1776.1000000000004</v>
      </c>
      <c r="J22" s="136">
        <f t="shared" si="6"/>
        <v>83.40093457943925</v>
      </c>
      <c r="K22" s="136">
        <f>F22-314.15</f>
        <v>8609.75</v>
      </c>
      <c r="L22" s="136">
        <f>F22/314.15*100</f>
        <v>2840.649371319433</v>
      </c>
      <c r="M22" s="137">
        <f>E22-серпень!E22</f>
        <v>171.10000000000036</v>
      </c>
      <c r="N22" s="137">
        <f>F22-серпень!F22</f>
        <v>250.15999999999985</v>
      </c>
      <c r="O22" s="138">
        <f t="shared" si="3"/>
        <v>79.05999999999949</v>
      </c>
      <c r="P22" s="136">
        <f t="shared" si="5"/>
        <v>146.20689655172373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3214.87</v>
      </c>
      <c r="G23" s="135">
        <f t="shared" si="0"/>
        <v>1427.87</v>
      </c>
      <c r="H23" s="137"/>
      <c r="I23" s="136">
        <f t="shared" si="1"/>
        <v>1114.87</v>
      </c>
      <c r="J23" s="136">
        <f t="shared" si="6"/>
        <v>153.08904761904762</v>
      </c>
      <c r="K23" s="136">
        <f>F23-0</f>
        <v>3214.87</v>
      </c>
      <c r="L23" s="136"/>
      <c r="M23" s="137">
        <f>E23-серпень!E23</f>
        <v>309</v>
      </c>
      <c r="N23" s="137">
        <f>F23-серпень!F23</f>
        <v>97.92000000000007</v>
      </c>
      <c r="O23" s="138">
        <f t="shared" si="3"/>
        <v>-211.07999999999993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68499.39</v>
      </c>
      <c r="G24" s="135">
        <f t="shared" si="0"/>
        <v>-6819.610000000001</v>
      </c>
      <c r="H24" s="137">
        <f t="shared" si="4"/>
        <v>90.94569763273543</v>
      </c>
      <c r="I24" s="136">
        <f t="shared" si="1"/>
        <v>-29000.61</v>
      </c>
      <c r="J24" s="136">
        <f t="shared" si="6"/>
        <v>70.25578461538461</v>
      </c>
      <c r="K24" s="224">
        <f>F24-61232.46</f>
        <v>7266.93</v>
      </c>
      <c r="L24" s="224">
        <f>F24/61232.46*100</f>
        <v>111.86777405317376</v>
      </c>
      <c r="M24" s="137">
        <f>E24-серпень!E24</f>
        <v>8240</v>
      </c>
      <c r="N24" s="137">
        <f>F24-серпень!F24</f>
        <v>491.1999999999971</v>
      </c>
      <c r="O24" s="138">
        <f t="shared" si="3"/>
        <v>-7748.800000000003</v>
      </c>
      <c r="P24" s="136">
        <f t="shared" si="5"/>
        <v>5.961165048543654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F25-44.08</f>
        <v>4.770000000000003</v>
      </c>
      <c r="L25" s="178">
        <f>F25/44.08*100</f>
        <v>110.82123411978222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-647.53</v>
      </c>
      <c r="G26" s="43">
        <f t="shared" si="0"/>
        <v>-647.53</v>
      </c>
      <c r="H26" s="35"/>
      <c r="I26" s="50">
        <f t="shared" si="1"/>
        <v>-647.53</v>
      </c>
      <c r="J26" s="136"/>
      <c r="K26" s="178">
        <f>F26-4797.94</f>
        <v>-5445.469999999999</v>
      </c>
      <c r="L26" s="178">
        <f>F26/4797.94*100</f>
        <v>-13.496000366824095</v>
      </c>
      <c r="M26" s="35">
        <f>E26-серпень!E26</f>
        <v>0</v>
      </c>
      <c r="N26" s="35">
        <f>F26-серпень!F26</f>
        <v>-32.95999999999992</v>
      </c>
      <c r="O26" s="47">
        <f t="shared" si="3"/>
        <v>-32.95999999999992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69284.65</v>
      </c>
      <c r="G27" s="43">
        <f t="shared" si="0"/>
        <v>1748.1499999999942</v>
      </c>
      <c r="H27" s="35">
        <f t="shared" si="4"/>
        <v>102.5884521703079</v>
      </c>
      <c r="I27" s="50">
        <f t="shared" si="1"/>
        <v>-10215.350000000006</v>
      </c>
      <c r="J27" s="178">
        <f t="shared" si="6"/>
        <v>87.15050314465408</v>
      </c>
      <c r="K27" s="132">
        <f>F27-59536.46</f>
        <v>9748.189999999995</v>
      </c>
      <c r="L27" s="132">
        <f>F27/59536.46*100</f>
        <v>116.37347937717493</v>
      </c>
      <c r="M27" s="35">
        <f>E27-серпень!E27</f>
        <v>4060</v>
      </c>
      <c r="N27" s="35">
        <f>F27-серпень!F27</f>
        <v>1449.6399999999994</v>
      </c>
      <c r="O27" s="47">
        <f t="shared" si="3"/>
        <v>-2610.3600000000006</v>
      </c>
      <c r="P27" s="50">
        <f t="shared" si="5"/>
        <v>35.705418719211806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F28-1.2</f>
        <v>-2.4</v>
      </c>
      <c r="L28" s="139">
        <f>F28/1.2*100</f>
        <v>-100</v>
      </c>
      <c r="M28" s="137">
        <f>E28-серпень!E28</f>
        <v>0</v>
      </c>
      <c r="N28" s="137">
        <f>F28-серпень!F28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17121.29</v>
      </c>
      <c r="G29" s="135">
        <f t="shared" si="0"/>
        <v>341.2900000000009</v>
      </c>
      <c r="H29" s="137">
        <f t="shared" si="4"/>
        <v>102.0339094159714</v>
      </c>
      <c r="I29" s="136">
        <f t="shared" si="1"/>
        <v>-2078.709999999999</v>
      </c>
      <c r="J29" s="136">
        <f t="shared" si="6"/>
        <v>89.17338541666668</v>
      </c>
      <c r="K29" s="139">
        <f>F29-16472.46</f>
        <v>648.8300000000017</v>
      </c>
      <c r="L29" s="139">
        <f>F29/16472.46*100</f>
        <v>103.9388773747212</v>
      </c>
      <c r="M29" s="137">
        <f>E29-серпень!E29</f>
        <v>1200</v>
      </c>
      <c r="N29" s="137">
        <f>F29-серпень!F29</f>
        <v>189.95999999999913</v>
      </c>
      <c r="O29" s="138">
        <f t="shared" si="3"/>
        <v>-1010.0400000000009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52147.75</v>
      </c>
      <c r="G30" s="135">
        <f t="shared" si="0"/>
        <v>1391.25</v>
      </c>
      <c r="H30" s="137">
        <f t="shared" si="4"/>
        <v>102.74102824268813</v>
      </c>
      <c r="I30" s="136">
        <f t="shared" si="1"/>
        <v>-8152.25</v>
      </c>
      <c r="J30" s="136">
        <f t="shared" si="6"/>
        <v>86.48051409618573</v>
      </c>
      <c r="K30" s="139">
        <f>F30-43062.79</f>
        <v>9084.96</v>
      </c>
      <c r="L30" s="139">
        <f>F30/43062.79*100</f>
        <v>121.09700741637965</v>
      </c>
      <c r="M30" s="137">
        <f>E30-серпень!E30</f>
        <v>2860</v>
      </c>
      <c r="N30" s="137">
        <f>F30-серпень!F30</f>
        <v>1259.6800000000003</v>
      </c>
      <c r="O30" s="138">
        <f t="shared" si="3"/>
        <v>-1600.3199999999997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5577.61</v>
      </c>
      <c r="G32" s="43">
        <f t="shared" si="0"/>
        <v>-174.78999999999996</v>
      </c>
      <c r="H32" s="35">
        <f t="shared" si="4"/>
        <v>96.96144218065503</v>
      </c>
      <c r="I32" s="50">
        <f t="shared" si="1"/>
        <v>-1922.3900000000003</v>
      </c>
      <c r="J32" s="178">
        <f t="shared" si="6"/>
        <v>74.36813333333333</v>
      </c>
      <c r="K32" s="178">
        <f>F32-7368.88</f>
        <v>-1791.2700000000004</v>
      </c>
      <c r="L32" s="178">
        <f>F32/7368.88*100</f>
        <v>75.69142122004972</v>
      </c>
      <c r="M32" s="35">
        <f>E32-серпень!E32</f>
        <v>0.2999999999992724</v>
      </c>
      <c r="N32" s="35">
        <f>F32-серпень!F32</f>
        <v>3.649999999999636</v>
      </c>
      <c r="O32" s="47">
        <f t="shared" si="3"/>
        <v>3.350000000000364</v>
      </c>
      <c r="P32" s="50">
        <f t="shared" si="5"/>
        <v>1216.6666666694962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26938.670000000002</v>
      </c>
      <c r="G33" s="44">
        <f t="shared" si="0"/>
        <v>3988.670000000002</v>
      </c>
      <c r="H33" s="45">
        <f>F33/E33*100</f>
        <v>117.379825708061</v>
      </c>
      <c r="I33" s="31">
        <f t="shared" si="1"/>
        <v>-1768.4299999999967</v>
      </c>
      <c r="J33" s="31">
        <f t="shared" si="6"/>
        <v>93.83974696155308</v>
      </c>
      <c r="K33" s="18">
        <f>K34+K35+K36+K37+K38+K41+K42+K47+K48+K52+K40</f>
        <v>17180.48</v>
      </c>
      <c r="L33" s="18"/>
      <c r="M33" s="18">
        <f>M34+M35+M36+M37+M38+M41+M42+M47+M48+M52+M40+M39</f>
        <v>2859.8</v>
      </c>
      <c r="N33" s="18">
        <f>N34+N35+N36+N37+N38+N41+N42+N47+N48+N52+N40+N39</f>
        <v>5331.32</v>
      </c>
      <c r="O33" s="49">
        <f t="shared" si="3"/>
        <v>2471.5199999999995</v>
      </c>
      <c r="P33" s="31">
        <f>N33/M33*100</f>
        <v>186.42282677110285</v>
      </c>
      <c r="Q33" s="31">
        <f>N33-1017.63</f>
        <v>4313.69</v>
      </c>
      <c r="R33" s="127">
        <f>N33/1017.63</f>
        <v>5.238957184831421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309.82</v>
      </c>
      <c r="G36" s="43">
        <f t="shared" si="0"/>
        <v>69.82</v>
      </c>
      <c r="H36" s="35"/>
      <c r="I36" s="50">
        <f t="shared" si="1"/>
        <v>69.82</v>
      </c>
      <c r="J36" s="50"/>
      <c r="K36" s="50">
        <f>F36-272.25</f>
        <v>37.56999999999999</v>
      </c>
      <c r="L36" s="50">
        <f>F36/272.25*100</f>
        <v>113.7998163452709</v>
      </c>
      <c r="M36" s="35">
        <f>E36-серпень!E36</f>
        <v>0</v>
      </c>
      <c r="N36" s="35">
        <f>F36-серпень!F36</f>
        <v>2.6200000000000045</v>
      </c>
      <c r="O36" s="47">
        <f t="shared" si="3"/>
        <v>2.6200000000000045</v>
      </c>
      <c r="P36" s="50"/>
      <c r="Q36" s="50">
        <f>N36-4.23</f>
        <v>-1.6099999999999959</v>
      </c>
      <c r="R36" s="126">
        <f>N36/4.23</f>
        <v>0.6193853427895991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110.42</v>
      </c>
      <c r="G38" s="43">
        <f t="shared" si="0"/>
        <v>5.420000000000002</v>
      </c>
      <c r="H38" s="35">
        <f>F38/E38*100</f>
        <v>105.16190476190476</v>
      </c>
      <c r="I38" s="50">
        <f t="shared" si="1"/>
        <v>-29.58</v>
      </c>
      <c r="J38" s="50">
        <f t="shared" si="6"/>
        <v>78.87142857142857</v>
      </c>
      <c r="K38" s="50">
        <f>F38-97.95</f>
        <v>12.469999999999999</v>
      </c>
      <c r="L38" s="50">
        <f>F38/97.95*100</f>
        <v>112.73098519652885</v>
      </c>
      <c r="M38" s="35">
        <f>E38-серпень!E38</f>
        <v>15</v>
      </c>
      <c r="N38" s="35">
        <f>F38-серпень!F38</f>
        <v>6.359999999999999</v>
      </c>
      <c r="O38" s="47">
        <f t="shared" si="3"/>
        <v>-8.64</v>
      </c>
      <c r="P38" s="50">
        <f>N38/M38*100</f>
        <v>42.4</v>
      </c>
      <c r="Q38" s="50">
        <f>N38-9.02</f>
        <v>-2.66</v>
      </c>
      <c r="R38" s="126">
        <f>N38/9.02</f>
        <v>0.70509977827051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6973.88</v>
      </c>
      <c r="G40" s="43"/>
      <c r="H40" s="35"/>
      <c r="I40" s="50">
        <f t="shared" si="1"/>
        <v>-2026.12</v>
      </c>
      <c r="J40" s="50"/>
      <c r="K40" s="50">
        <f>F40-0</f>
        <v>6973.88</v>
      </c>
      <c r="L40" s="50"/>
      <c r="M40" s="35">
        <f>E40-серпень!E40</f>
        <v>1000</v>
      </c>
      <c r="N40" s="35">
        <f>F40-серпень!F40</f>
        <v>201.82999999999993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5361.47</v>
      </c>
      <c r="G42" s="43">
        <f t="shared" si="0"/>
        <v>-437.52999999999975</v>
      </c>
      <c r="H42" s="35">
        <f>F42/E42*100</f>
        <v>92.45507846180377</v>
      </c>
      <c r="I42" s="50">
        <f t="shared" si="1"/>
        <v>-1738.5299999999997</v>
      </c>
      <c r="J42" s="50">
        <f t="shared" si="6"/>
        <v>75.513661971831</v>
      </c>
      <c r="K42" s="50">
        <f>F42-782.38</f>
        <v>4579.09</v>
      </c>
      <c r="L42" s="50">
        <f>F42/782.38*100</f>
        <v>685.2769753828063</v>
      </c>
      <c r="M42" s="35">
        <f>E42-серпень!E42</f>
        <v>604.3000000000002</v>
      </c>
      <c r="N42" s="35">
        <f>F42-серпень!F42</f>
        <v>140.03999999999996</v>
      </c>
      <c r="O42" s="47">
        <f t="shared" si="3"/>
        <v>-464.2600000000002</v>
      </c>
      <c r="P42" s="50">
        <f>N42/M42*100</f>
        <v>23.173920238292226</v>
      </c>
      <c r="Q42" s="50">
        <f>N42-79.51</f>
        <v>60.52999999999996</v>
      </c>
      <c r="R42" s="126">
        <f>N42/79.51</f>
        <v>1.7612878883159346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755.96</v>
      </c>
      <c r="G43" s="135">
        <f t="shared" si="0"/>
        <v>-84.03999999999996</v>
      </c>
      <c r="H43" s="137">
        <f>F43/E43*100</f>
        <v>89.9952380952381</v>
      </c>
      <c r="I43" s="136">
        <f t="shared" si="1"/>
        <v>-344.03999999999996</v>
      </c>
      <c r="J43" s="136">
        <f t="shared" si="6"/>
        <v>68.72363636363636</v>
      </c>
      <c r="K43" s="136">
        <f>F43-687.25</f>
        <v>68.71000000000004</v>
      </c>
      <c r="L43" s="136">
        <f>F43/687.25*100</f>
        <v>109.99781738814114</v>
      </c>
      <c r="M43" s="35">
        <f>E43-серпень!E43</f>
        <v>80</v>
      </c>
      <c r="N43" s="35">
        <f>F43-серпень!F43</f>
        <v>20.83000000000004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44.02</v>
      </c>
      <c r="G44" s="135">
        <f t="shared" si="0"/>
        <v>-15.979999999999997</v>
      </c>
      <c r="H44" s="137"/>
      <c r="I44" s="136">
        <f t="shared" si="1"/>
        <v>-35.98</v>
      </c>
      <c r="J44" s="136"/>
      <c r="K44" s="136">
        <f>F44-0</f>
        <v>44.02</v>
      </c>
      <c r="L44" s="136"/>
      <c r="M44" s="35">
        <f>E44-серпень!E44</f>
        <v>10</v>
      </c>
      <c r="N44" s="35">
        <f>F44-серпень!F44</f>
        <v>-1.4299999999999997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4560.74</v>
      </c>
      <c r="G46" s="135">
        <f t="shared" si="0"/>
        <v>-337.2600000000002</v>
      </c>
      <c r="H46" s="137">
        <f>F46/E46*100</f>
        <v>93.1143323805635</v>
      </c>
      <c r="I46" s="136">
        <f t="shared" si="1"/>
        <v>-1357.2600000000002</v>
      </c>
      <c r="J46" s="136">
        <f t="shared" si="6"/>
        <v>77.065562690098</v>
      </c>
      <c r="K46" s="136">
        <f>F46-95.13</f>
        <v>4465.61</v>
      </c>
      <c r="L46" s="136">
        <f>F46/95.13*100</f>
        <v>4794.2184379270475</v>
      </c>
      <c r="M46" s="35">
        <f>E46-серпень!E46</f>
        <v>514</v>
      </c>
      <c r="N46" s="35">
        <f>F46-серпень!F46</f>
        <v>120.63000000000011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3300.27</v>
      </c>
      <c r="G48" s="43">
        <f t="shared" si="0"/>
        <v>210.26999999999998</v>
      </c>
      <c r="H48" s="35">
        <f>F48/E48*100</f>
        <v>106.80485436893204</v>
      </c>
      <c r="I48" s="50">
        <f t="shared" si="1"/>
        <v>-899.73</v>
      </c>
      <c r="J48" s="50">
        <f>F48/D48*100</f>
        <v>78.57785714285714</v>
      </c>
      <c r="K48" s="50">
        <f>F48-3093.83</f>
        <v>206.44000000000005</v>
      </c>
      <c r="L48" s="50">
        <f>F48/3093.83*100</f>
        <v>106.67263553588917</v>
      </c>
      <c r="M48" s="35">
        <f>E48-серпень!E48</f>
        <v>390</v>
      </c>
      <c r="N48" s="35">
        <f>F48-серпень!F48</f>
        <v>107.61999999999989</v>
      </c>
      <c r="O48" s="47">
        <f t="shared" si="3"/>
        <v>-282.3800000000001</v>
      </c>
      <c r="P48" s="50">
        <f aca="true" t="shared" si="7" ref="P48:P53">N48/M48*100</f>
        <v>27.594871794871768</v>
      </c>
      <c r="Q48" s="50">
        <f>N48-277.38</f>
        <v>-169.7600000000001</v>
      </c>
      <c r="R48" s="126">
        <f>N48/277.38</f>
        <v>0.38798759824068024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924</v>
      </c>
      <c r="G51" s="135">
        <f t="shared" si="0"/>
        <v>924</v>
      </c>
      <c r="H51" s="137"/>
      <c r="I51" s="136">
        <f t="shared" si="1"/>
        <v>924</v>
      </c>
      <c r="J51" s="136"/>
      <c r="K51" s="219">
        <f>F51-758.38</f>
        <v>165.62</v>
      </c>
      <c r="L51" s="219">
        <f>F51/758.38*100</f>
        <v>121.83865608270261</v>
      </c>
      <c r="M51" s="35">
        <f>E51-серпень!E51</f>
        <v>0</v>
      </c>
      <c r="N51" s="35">
        <f>F51-серпень!F51</f>
        <v>33.39999999999998</v>
      </c>
      <c r="O51" s="138">
        <f t="shared" si="3"/>
        <v>33.39999999999998</v>
      </c>
      <c r="P51" s="136"/>
      <c r="Q51" s="50">
        <f>N51-64.93</f>
        <v>-31.53000000000003</v>
      </c>
      <c r="R51" s="126">
        <f>N51/64.93</f>
        <v>0.5144001232096099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468063.25</v>
      </c>
      <c r="G55" s="44">
        <f>F55-E55</f>
        <v>-13658.650000000023</v>
      </c>
      <c r="H55" s="45">
        <f>F55/E55*100</f>
        <v>97.16461925438723</v>
      </c>
      <c r="I55" s="31">
        <f>F55-D55</f>
        <v>-132959.34999999998</v>
      </c>
      <c r="J55" s="31">
        <f>F55/D55*100</f>
        <v>77.87781191589134</v>
      </c>
      <c r="K55" s="31">
        <f>K8+K33+K53+K54</f>
        <v>99300.94600000001</v>
      </c>
      <c r="L55" s="31">
        <f>F55/(F55-K55)*100</f>
        <v>126.92817159532662</v>
      </c>
      <c r="M55" s="18">
        <f>M8+M33+M53+M54</f>
        <v>48538.399999999994</v>
      </c>
      <c r="N55" s="18">
        <f>N8+N33+N53+N54</f>
        <v>16929.06000000002</v>
      </c>
      <c r="O55" s="49">
        <f>N55-M55</f>
        <v>-31609.339999999975</v>
      </c>
      <c r="P55" s="31">
        <f>N55/M55*100</f>
        <v>34.87766387025535</v>
      </c>
      <c r="Q55" s="31">
        <f>N55-34768</f>
        <v>-17838.93999999998</v>
      </c>
      <c r="R55" s="171">
        <f>N55/34768</f>
        <v>0.4869149792913029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593.04</v>
      </c>
      <c r="G64" s="43">
        <f t="shared" si="8"/>
        <v>-1006.96</v>
      </c>
      <c r="H64" s="35"/>
      <c r="I64" s="53">
        <f t="shared" si="9"/>
        <v>-1906.96</v>
      </c>
      <c r="J64" s="53">
        <f t="shared" si="11"/>
        <v>23.7216</v>
      </c>
      <c r="K64" s="53">
        <f>F64-1754.73</f>
        <v>-1161.69</v>
      </c>
      <c r="L64" s="53">
        <f>F64/1754.73*100</f>
        <v>33.79665247644937</v>
      </c>
      <c r="M64" s="35">
        <f>E64-серпень!E64</f>
        <v>600</v>
      </c>
      <c r="N64" s="35">
        <f>F64-серпень!F64</f>
        <v>0.01999999999998181</v>
      </c>
      <c r="O64" s="47">
        <f t="shared" si="10"/>
        <v>-599.98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3828.68</v>
      </c>
      <c r="G65" s="43">
        <f t="shared" si="8"/>
        <v>-1633.48</v>
      </c>
      <c r="H65" s="35">
        <f>F65/E65*100</f>
        <v>70.09461458470642</v>
      </c>
      <c r="I65" s="53">
        <f t="shared" si="9"/>
        <v>-7747.32</v>
      </c>
      <c r="J65" s="53">
        <f t="shared" si="11"/>
        <v>33.074291637871454</v>
      </c>
      <c r="K65" s="53">
        <f>F65-2393.24</f>
        <v>1435.44</v>
      </c>
      <c r="L65" s="53">
        <f>F65/2393.24*100</f>
        <v>159.97894068292356</v>
      </c>
      <c r="M65" s="35">
        <f>E65-серпень!E65</f>
        <v>728.7200000000003</v>
      </c>
      <c r="N65" s="35">
        <f>F65-серпень!F65</f>
        <v>70.03999999999996</v>
      </c>
      <c r="O65" s="47">
        <f t="shared" si="10"/>
        <v>-658.6800000000003</v>
      </c>
      <c r="P65" s="53">
        <f>N65/M65*100</f>
        <v>9.611373366999661</v>
      </c>
      <c r="Q65" s="53">
        <f>N65-450.01</f>
        <v>-379.97</v>
      </c>
      <c r="R65" s="129">
        <f>N65/450.01</f>
        <v>0.155640985755872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F66-1074.91</f>
        <v>763.9499999999998</v>
      </c>
      <c r="L66" s="53">
        <f>F66/1074.91*100</f>
        <v>171.07106641486263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6260.579999999999</v>
      </c>
      <c r="G67" s="55">
        <f t="shared" si="8"/>
        <v>-1986.38</v>
      </c>
      <c r="H67" s="65">
        <f>F67/E67*100</f>
        <v>75.91379126368989</v>
      </c>
      <c r="I67" s="54">
        <f t="shared" si="9"/>
        <v>-10815.420000000002</v>
      </c>
      <c r="J67" s="54">
        <f t="shared" si="11"/>
        <v>36.66303583977511</v>
      </c>
      <c r="K67" s="54">
        <f>K64+K65+K66</f>
        <v>1037.6999999999998</v>
      </c>
      <c r="L67" s="54"/>
      <c r="M67" s="55">
        <f>M64+M65+M66</f>
        <v>1476.8200000000002</v>
      </c>
      <c r="N67" s="55">
        <f>N64+N65+N66</f>
        <v>70.27999999999975</v>
      </c>
      <c r="O67" s="54">
        <f t="shared" si="10"/>
        <v>-1406.5400000000004</v>
      </c>
      <c r="P67" s="54">
        <f>N67/M67*100</f>
        <v>4.758873796400357</v>
      </c>
      <c r="Q67" s="54">
        <f>N67-7985.28</f>
        <v>-7915</v>
      </c>
      <c r="R67" s="173">
        <f>N67/7985.28</f>
        <v>0.008801194197323043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6231.199999999999</v>
      </c>
      <c r="G74" s="44">
        <f>F74-E74</f>
        <v>-2084.9799999999996</v>
      </c>
      <c r="H74" s="45">
        <f>F74/E74*100</f>
        <v>74.92863309836969</v>
      </c>
      <c r="I74" s="31">
        <f>F74-D74</f>
        <v>-10940.800000000001</v>
      </c>
      <c r="J74" s="31">
        <f>F74/D74*100</f>
        <v>36.286978802702066</v>
      </c>
      <c r="K74" s="31">
        <f>K62+K67+K71+K72</f>
        <v>694.3699999999999</v>
      </c>
      <c r="L74" s="31"/>
      <c r="M74" s="27">
        <f>M62+M72+M67+M71</f>
        <v>1495.8200000000002</v>
      </c>
      <c r="N74" s="27">
        <f>N62+N72+N67+N71+N73</f>
        <v>67.76999999999974</v>
      </c>
      <c r="O74" s="31">
        <f>N74-M74</f>
        <v>-1428.0500000000004</v>
      </c>
      <c r="P74" s="31">
        <f>N74/M74*100</f>
        <v>4.530625342621421</v>
      </c>
      <c r="Q74" s="31">
        <f>N74-8104.96</f>
        <v>-8037.1900000000005</v>
      </c>
      <c r="R74" s="127">
        <f>N74/8104.96</f>
        <v>0.008361546509791503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474294.45</v>
      </c>
      <c r="G75" s="44">
        <f>F75-E75</f>
        <v>-15743.630000000005</v>
      </c>
      <c r="H75" s="45">
        <f>F75/E75*100</f>
        <v>96.78726396120074</v>
      </c>
      <c r="I75" s="31">
        <f>F75-D75</f>
        <v>-143900.14999999997</v>
      </c>
      <c r="J75" s="31">
        <f>F75/D75*100</f>
        <v>76.72251585503983</v>
      </c>
      <c r="K75" s="31">
        <f>K55+K74</f>
        <v>99995.316</v>
      </c>
      <c r="L75" s="31">
        <f>F75/(F75-K75)*100</f>
        <v>126.71534794413924</v>
      </c>
      <c r="M75" s="18">
        <f>M55+M74</f>
        <v>50034.219999999994</v>
      </c>
      <c r="N75" s="18">
        <f>N55+N74</f>
        <v>16996.83000000002</v>
      </c>
      <c r="O75" s="31">
        <f>N75-M75</f>
        <v>-33037.38999999997</v>
      </c>
      <c r="P75" s="31">
        <f>N75/M75*100</f>
        <v>33.970410650950534</v>
      </c>
      <c r="Q75" s="31">
        <f>N75-42872.96</f>
        <v>-25876.12999999998</v>
      </c>
      <c r="R75" s="127">
        <f>N75/42872.96</f>
        <v>0.3964463848542303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16</v>
      </c>
      <c r="D77" s="4" t="s">
        <v>118</v>
      </c>
    </row>
    <row r="78" spans="2:17" ht="31.5">
      <c r="B78" s="71" t="s">
        <v>154</v>
      </c>
      <c r="C78" s="34">
        <f>IF(O55&lt;0,ABS(O55/C77),0)</f>
        <v>1975.5837499999984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42255</v>
      </c>
      <c r="D79" s="34">
        <v>2025.1</v>
      </c>
      <c r="G79" s="4" t="s">
        <v>166</v>
      </c>
      <c r="N79" s="252"/>
      <c r="O79" s="252"/>
    </row>
    <row r="80" spans="3:15" ht="15.75">
      <c r="C80" s="111">
        <v>42254</v>
      </c>
      <c r="D80" s="34">
        <v>4742.6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42251</v>
      </c>
      <c r="D81" s="34">
        <v>4209.5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8959.498880000001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3" sqref="H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2015-09-09T09:30:37Z</cp:lastPrinted>
  <dcterms:created xsi:type="dcterms:W3CDTF">2003-07-28T11:27:56Z</dcterms:created>
  <dcterms:modified xsi:type="dcterms:W3CDTF">2015-09-09T09:40:59Z</dcterms:modified>
  <cp:category/>
  <cp:version/>
  <cp:contentType/>
  <cp:contentStatus/>
</cp:coreProperties>
</file>